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uise.Flanagan\Documents\OUTA\Louise documents\Local Govt - Joburg budget 2024-25\"/>
    </mc:Choice>
  </mc:AlternateContent>
  <xr:revisionPtr revIDLastSave="0" documentId="13_ncr:1_{FE953005-B70C-47DF-BAEB-22BA03E5DAA4}" xr6:coauthVersionLast="47" xr6:coauthVersionMax="47" xr10:uidLastSave="{00000000-0000-0000-0000-000000000000}"/>
  <bookViews>
    <workbookView xWindow="28590" yWindow="915" windowWidth="27750" windowHeight="12255" xr2:uid="{8016527C-7EDD-4EF8-AFCF-D9872C8908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Q29" i="1"/>
  <c r="Q36" i="1" s="1"/>
  <c r="R36" i="1" s="1"/>
  <c r="T36" i="1" s="1"/>
  <c r="N29" i="1"/>
  <c r="J29" i="1" s="1"/>
  <c r="P34" i="1"/>
  <c r="Q34" i="1" s="1"/>
  <c r="P33" i="1"/>
  <c r="Q33" i="1" s="1"/>
  <c r="P32" i="1"/>
  <c r="Q32" i="1" s="1"/>
  <c r="P31" i="1"/>
  <c r="Q30" i="1"/>
  <c r="P19" i="1"/>
  <c r="Q18" i="1"/>
  <c r="Q21" i="1" s="1"/>
  <c r="R21" i="1" s="1"/>
  <c r="T21" i="1" s="1"/>
  <c r="Q17" i="1"/>
  <c r="Q10" i="1"/>
  <c r="R10" i="1" s="1"/>
  <c r="T10" i="1" s="1"/>
  <c r="P8" i="1"/>
  <c r="Q11" i="1" s="1"/>
  <c r="R11" i="1" s="1"/>
  <c r="T11" i="1" s="1"/>
  <c r="Q7" i="1"/>
  <c r="Q6" i="1"/>
  <c r="F36" i="1"/>
  <c r="G36" i="1" s="1"/>
  <c r="I36" i="1" s="1"/>
  <c r="F30" i="1"/>
  <c r="F7" i="1"/>
  <c r="F6" i="1"/>
  <c r="F18" i="1"/>
  <c r="F17" i="1"/>
  <c r="F10" i="1"/>
  <c r="G10" i="1" s="1"/>
  <c r="I10" i="1" s="1"/>
  <c r="E8" i="1"/>
  <c r="F11" i="1" s="1"/>
  <c r="G11" i="1" s="1"/>
  <c r="I11" i="1" s="1"/>
  <c r="E34" i="1"/>
  <c r="F34" i="1" s="1"/>
  <c r="E33" i="1"/>
  <c r="F33" i="1" s="1"/>
  <c r="E32" i="1"/>
  <c r="F32" i="1" s="1"/>
  <c r="E31" i="1"/>
  <c r="F37" i="1" s="1"/>
  <c r="G37" i="1" s="1"/>
  <c r="I37" i="1" s="1"/>
  <c r="E19" i="1"/>
  <c r="F19" i="1" s="1"/>
  <c r="C29" i="1"/>
  <c r="J36" i="1" l="1"/>
  <c r="Q37" i="1"/>
  <c r="R37" i="1" s="1"/>
  <c r="T37" i="1" s="1"/>
  <c r="Q38" i="1"/>
  <c r="R38" i="1" s="1"/>
  <c r="T38" i="1" s="1"/>
  <c r="Q31" i="1"/>
  <c r="Q39" i="1"/>
  <c r="R39" i="1" s="1"/>
  <c r="T39" i="1" s="1"/>
  <c r="J10" i="1"/>
  <c r="J11" i="1"/>
  <c r="F31" i="1"/>
  <c r="Q24" i="1"/>
  <c r="R24" i="1" s="1"/>
  <c r="T24" i="1" s="1"/>
  <c r="Q23" i="1"/>
  <c r="R23" i="1" s="1"/>
  <c r="T23" i="1" s="1"/>
  <c r="Q19" i="1"/>
  <c r="Q22" i="1" s="1"/>
  <c r="R22" i="1" s="1"/>
  <c r="T22" i="1" s="1"/>
  <c r="Q8" i="1"/>
  <c r="F23" i="1"/>
  <c r="G23" i="1" s="1"/>
  <c r="F24" i="1"/>
  <c r="G24" i="1" s="1"/>
  <c r="F38" i="1"/>
  <c r="G38" i="1" s="1"/>
  <c r="F22" i="1"/>
  <c r="G22" i="1" s="1"/>
  <c r="F39" i="1"/>
  <c r="G39" i="1" s="1"/>
  <c r="F21" i="1"/>
  <c r="G21" i="1" s="1"/>
  <c r="F8" i="1"/>
  <c r="I38" i="1" l="1"/>
  <c r="J38" i="1"/>
  <c r="I39" i="1"/>
  <c r="J39" i="1"/>
  <c r="J37" i="1"/>
  <c r="I24" i="1"/>
  <c r="J24" i="1"/>
  <c r="I23" i="1"/>
  <c r="J23" i="1"/>
  <c r="I21" i="1"/>
  <c r="J21" i="1"/>
  <c r="I22" i="1"/>
  <c r="J22" i="1"/>
</calcChain>
</file>

<file path=xl/sharedStrings.xml><?xml version="1.0" encoding="utf-8"?>
<sst xmlns="http://schemas.openxmlformats.org/spreadsheetml/2006/main" count="114" uniqueCount="47">
  <si>
    <t>Prepaid Low</t>
  </si>
  <si>
    <t>0-350kWh</t>
  </si>
  <si>
    <t>351-500kWh</t>
  </si>
  <si>
    <t>Prepaid High</t>
  </si>
  <si>
    <t>Conventional domestic single phase 60A</t>
  </si>
  <si>
    <t>0-500</t>
  </si>
  <si>
    <t>501-1000</t>
  </si>
  <si>
    <t>1001-2000</t>
  </si>
  <si>
    <t>2001-3000</t>
  </si>
  <si>
    <t>&gt;3000</t>
  </si>
  <si>
    <t>Fixed monthly fee</t>
  </si>
  <si>
    <t>kWh charge</t>
  </si>
  <si>
    <t>Cost of 500kWh a month</t>
  </si>
  <si>
    <t>Cost of 1000kWh a month</t>
  </si>
  <si>
    <t>Cost of 1500kWh a month</t>
  </si>
  <si>
    <t>Cost of 2000kWh a month</t>
  </si>
  <si>
    <t>&gt;500-1000kWh</t>
  </si>
  <si>
    <t>500kWh-1000kWh</t>
  </si>
  <si>
    <t>Incl 6c/kWh &gt;500kWh</t>
  </si>
  <si>
    <t>Total incl VAT</t>
  </si>
  <si>
    <t>(350 x R2.1952) + (150 x R2.7110)</t>
  </si>
  <si>
    <t>(350 x R2.1952) + (150 x R2.7110) + (500 x R3.2039)</t>
  </si>
  <si>
    <t>Total excl VAT</t>
  </si>
  <si>
    <t>R200 + (350 x R2.3634) + (150 x R2.7110)</t>
  </si>
  <si>
    <t>R200 + (350 x R2.3634) + (150 x R2.7110) + (500 x R3.1491)</t>
  </si>
  <si>
    <t>R200 + (350 x R2.3634) + (150 x R2.7110) + (1000 x R3.1491)</t>
  </si>
  <si>
    <t>R200 + (350 x R2.3634) + (150 x R2.7110) + (1500 x R3.1491)</t>
  </si>
  <si>
    <t>R930.37 + (500 x R2.2728)</t>
  </si>
  <si>
    <t>R930.37 + (500 x R2.2728) + (500 x R2.6683)</t>
  </si>
  <si>
    <t>R930.37 + (500 x R2.2728) + (500 x R2.6683) + (1000 x R2.8608)</t>
  </si>
  <si>
    <t>R930.37 + (500 x R2.2728) + (500 x R2.6683) + (500 x R2.8608)</t>
  </si>
  <si>
    <t>Average price per kWh</t>
  </si>
  <si>
    <t>2024/25, with effect from 1 July 2024</t>
  </si>
  <si>
    <t>% increase on total cost compared to 2023/24</t>
  </si>
  <si>
    <t>Last year: 2023/24, for 1 July 2023 to 30 June 2024</t>
  </si>
  <si>
    <t>No Prepaid High tariff - Domestic Prepaid tariff only</t>
  </si>
  <si>
    <t>No Prepaid Low tariff - Domestic Prepaid tariff only</t>
  </si>
  <si>
    <t>R825.38 + (500 x R2.0163)</t>
  </si>
  <si>
    <t>R825.38 + (500 x R2.0163) + (500 x R2.3740)</t>
  </si>
  <si>
    <t>R825.38 + (500 x R2.0163) + (500 x R2.3740) + (500 x R2.5447)</t>
  </si>
  <si>
    <t>R825.38 + (500 x R2.0163) + (500 x R2.3740) + (1000 x R2.5447)</t>
  </si>
  <si>
    <t>(350 x R2.0967) + (150 x R2.4051)</t>
  </si>
  <si>
    <t>(350 x R2.0967) + (150 x R2.4051) + (500 x R2.7405)</t>
  </si>
  <si>
    <t>(350 x R2.0967) + (150 x R2.4051) + (1500 x R2.8005)</t>
  </si>
  <si>
    <t>(350 x R2.0967) + (150 x R2.4051) + (1000 x R2.8005)</t>
  </si>
  <si>
    <t>(350 x R2.0967) + (150 x R2.4051) + (500 x R2.8005)</t>
  </si>
  <si>
    <t>City of Joburg domestic electricity tariffs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</si>
</sst>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&quot;R&quot;#,##0.0000"/>
  </numFmts>
  <fonts count="4" x14ac:knownFonts="1">
    <font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2" xfId="0" applyFont="1" applyBorder="1"/>
    <xf numFmtId="0" fontId="3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wrapText="1"/>
    </xf>
    <xf numFmtId="165" fontId="2" fillId="0" borderId="5" xfId="0" applyNumberFormat="1" applyFont="1" applyBorder="1"/>
    <xf numFmtId="165" fontId="3" fillId="0" borderId="0" xfId="0" applyNumberFormat="1" applyFont="1"/>
    <xf numFmtId="0" fontId="3" fillId="0" borderId="6" xfId="0" applyFont="1" applyBorder="1" applyAlignment="1">
      <alignment wrapText="1"/>
    </xf>
    <xf numFmtId="0" fontId="2" fillId="0" borderId="7" xfId="0" applyFont="1" applyBorder="1"/>
    <xf numFmtId="165" fontId="2" fillId="0" borderId="7" xfId="0" applyNumberFormat="1" applyFont="1" applyBorder="1" applyAlignment="1">
      <alignment wrapText="1"/>
    </xf>
    <xf numFmtId="165" fontId="3" fillId="0" borderId="7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2" fillId="0" borderId="0" xfId="0" applyFont="1" applyAlignment="1">
      <alignment wrapText="1"/>
    </xf>
    <xf numFmtId="10" fontId="2" fillId="0" borderId="0" xfId="0" applyNumberFormat="1" applyFont="1"/>
    <xf numFmtId="0" fontId="1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0" fontId="3" fillId="2" borderId="5" xfId="0" applyNumberFormat="1" applyFont="1" applyFill="1" applyBorder="1" applyAlignment="1">
      <alignment wrapText="1"/>
    </xf>
    <xf numFmtId="10" fontId="2" fillId="2" borderId="5" xfId="0" applyNumberFormat="1" applyFont="1" applyFill="1" applyBorder="1"/>
    <xf numFmtId="10" fontId="2" fillId="2" borderId="8" xfId="0" applyNumberFormat="1" applyFont="1" applyFill="1" applyBorder="1"/>
    <xf numFmtId="0" fontId="2" fillId="0" borderId="0" xfId="0" applyFont="1"/>
    <xf numFmtId="0" fontId="2" fillId="0" borderId="7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2" fillId="0" borderId="11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A607-3B31-4DCA-B6C6-478B037D0F54}">
  <dimension ref="A1:T39"/>
  <sheetViews>
    <sheetView tabSelected="1" topLeftCell="A4" workbookViewId="0">
      <selection activeCell="J7" sqref="J7"/>
    </sheetView>
  </sheetViews>
  <sheetFormatPr defaultRowHeight="13.8" x14ac:dyDescent="0.3"/>
  <cols>
    <col min="1" max="1" width="23.5546875" style="26" customWidth="1"/>
    <col min="2" max="2" width="15.77734375" style="1" customWidth="1"/>
    <col min="3" max="3" width="12.6640625" style="15" customWidth="1"/>
    <col min="4" max="4" width="10.5546875" style="1" customWidth="1"/>
    <col min="5" max="5" width="12.109375" style="16" customWidth="1"/>
    <col min="6" max="6" width="13.88671875" style="26" customWidth="1"/>
    <col min="7" max="7" width="12.109375" style="1" customWidth="1"/>
    <col min="8" max="8" width="3.6640625" style="1" customWidth="1"/>
    <col min="9" max="9" width="10.21875" style="1" customWidth="1"/>
    <col min="10" max="10" width="11.5546875" style="27" customWidth="1"/>
    <col min="11" max="11" width="8.88671875" style="1"/>
    <col min="12" max="12" width="23.44140625" style="1" customWidth="1"/>
    <col min="13" max="13" width="13.33203125" style="1" customWidth="1"/>
    <col min="14" max="14" width="11.21875" style="1" customWidth="1"/>
    <col min="15" max="15" width="11.5546875" style="1" customWidth="1"/>
    <col min="16" max="16" width="15.6640625" style="1" customWidth="1"/>
    <col min="17" max="17" width="13.21875" style="1" customWidth="1"/>
    <col min="18" max="18" width="12.44140625" style="1" customWidth="1"/>
    <col min="19" max="19" width="3.88671875" style="1" customWidth="1"/>
    <col min="20" max="16384" width="8.88671875" style="1"/>
  </cols>
  <sheetData>
    <row r="1" spans="1:20" x14ac:dyDescent="0.3">
      <c r="A1" s="3" t="s">
        <v>46</v>
      </c>
    </row>
    <row r="2" spans="1:20" ht="14.4" thickBot="1" x14ac:dyDescent="0.35"/>
    <row r="3" spans="1:20" ht="14.4" thickBot="1" x14ac:dyDescent="0.35">
      <c r="A3" s="35" t="s">
        <v>32</v>
      </c>
      <c r="B3" s="36"/>
      <c r="C3" s="36"/>
      <c r="D3" s="36"/>
      <c r="E3" s="36"/>
      <c r="F3" s="36"/>
      <c r="G3" s="36"/>
      <c r="H3" s="36"/>
      <c r="I3" s="36"/>
      <c r="J3" s="37"/>
      <c r="L3" s="35" t="s">
        <v>34</v>
      </c>
      <c r="M3" s="36"/>
      <c r="N3" s="36"/>
      <c r="O3" s="36"/>
      <c r="P3" s="36"/>
      <c r="Q3" s="36"/>
      <c r="R3" s="36"/>
      <c r="S3" s="36"/>
      <c r="T3" s="38"/>
    </row>
    <row r="4" spans="1:20" ht="55.2" x14ac:dyDescent="0.3">
      <c r="A4" s="2" t="s">
        <v>0</v>
      </c>
      <c r="B4" s="3"/>
      <c r="C4" s="4" t="s">
        <v>10</v>
      </c>
      <c r="D4" s="3" t="s">
        <v>11</v>
      </c>
      <c r="E4" s="5" t="s">
        <v>18</v>
      </c>
      <c r="F4" s="6" t="s">
        <v>22</v>
      </c>
      <c r="G4" s="3" t="s">
        <v>19</v>
      </c>
      <c r="I4" s="6" t="s">
        <v>31</v>
      </c>
      <c r="J4" s="30" t="s">
        <v>33</v>
      </c>
      <c r="L4" s="7" t="s">
        <v>36</v>
      </c>
      <c r="M4" s="8"/>
      <c r="N4" s="9" t="s">
        <v>10</v>
      </c>
      <c r="O4" s="8" t="s">
        <v>11</v>
      </c>
      <c r="P4" s="10" t="s">
        <v>18</v>
      </c>
      <c r="Q4" s="11" t="s">
        <v>22</v>
      </c>
      <c r="R4" s="8" t="s">
        <v>19</v>
      </c>
      <c r="S4" s="12"/>
      <c r="T4" s="13" t="s">
        <v>31</v>
      </c>
    </row>
    <row r="5" spans="1:20" x14ac:dyDescent="0.3">
      <c r="A5" s="14"/>
      <c r="C5" s="15">
        <v>0</v>
      </c>
      <c r="D5" s="16"/>
      <c r="F5" s="17"/>
      <c r="G5" s="16"/>
      <c r="H5" s="16"/>
      <c r="I5" s="16"/>
      <c r="J5" s="31"/>
      <c r="K5" s="16"/>
      <c r="L5" s="14"/>
      <c r="N5" s="15">
        <v>0</v>
      </c>
      <c r="O5" s="16"/>
      <c r="P5" s="16"/>
      <c r="Q5" s="17"/>
      <c r="R5" s="16"/>
      <c r="S5" s="16"/>
      <c r="T5" s="18"/>
    </row>
    <row r="6" spans="1:20" x14ac:dyDescent="0.3">
      <c r="A6" s="14"/>
      <c r="B6" s="1" t="s">
        <v>1</v>
      </c>
      <c r="D6" s="16">
        <v>2.1951999999999998</v>
      </c>
      <c r="F6" s="16">
        <f>SUM(350*D6)</f>
        <v>768.31999999999994</v>
      </c>
      <c r="G6" s="16"/>
      <c r="H6" s="16"/>
      <c r="I6" s="16"/>
      <c r="J6" s="31">
        <f>(F6-Q6)/Q6</f>
        <v>4.6978585396098671E-2</v>
      </c>
      <c r="K6" s="16"/>
      <c r="L6" s="14"/>
      <c r="M6" s="1" t="s">
        <v>1</v>
      </c>
      <c r="N6" s="15"/>
      <c r="O6" s="16">
        <v>2.0966999999999998</v>
      </c>
      <c r="P6" s="16"/>
      <c r="Q6" s="16">
        <f>SUM(350*O6)</f>
        <v>733.84499999999991</v>
      </c>
      <c r="R6" s="16"/>
      <c r="S6" s="16"/>
      <c r="T6" s="18"/>
    </row>
    <row r="7" spans="1:20" x14ac:dyDescent="0.3">
      <c r="A7" s="14"/>
      <c r="B7" s="1" t="s">
        <v>2</v>
      </c>
      <c r="D7" s="16">
        <v>2.7109999999999999</v>
      </c>
      <c r="F7" s="16">
        <f>SUM(150*D7)</f>
        <v>406.65</v>
      </c>
      <c r="G7" s="16"/>
      <c r="H7" s="16"/>
      <c r="I7" s="16"/>
      <c r="J7" s="31"/>
      <c r="K7" s="16"/>
      <c r="L7" s="14"/>
      <c r="M7" s="1" t="s">
        <v>2</v>
      </c>
      <c r="N7" s="15"/>
      <c r="O7" s="16">
        <v>2.4051</v>
      </c>
      <c r="P7" s="16"/>
      <c r="Q7" s="16">
        <f>SUM(150*O7)</f>
        <v>360.76499999999999</v>
      </c>
      <c r="R7" s="16"/>
      <c r="S7" s="16"/>
      <c r="T7" s="18"/>
    </row>
    <row r="8" spans="1:20" x14ac:dyDescent="0.3">
      <c r="A8" s="14"/>
      <c r="B8" s="1" t="s">
        <v>16</v>
      </c>
      <c r="D8" s="16">
        <v>3.1438999999999999</v>
      </c>
      <c r="E8" s="16">
        <f>SUM(D8+0.06)</f>
        <v>3.2039</v>
      </c>
      <c r="F8" s="16">
        <f>SUM(500*E8)</f>
        <v>1601.95</v>
      </c>
      <c r="G8" s="16"/>
      <c r="H8" s="16"/>
      <c r="I8" s="16"/>
      <c r="J8" s="31"/>
      <c r="K8" s="16"/>
      <c r="L8" s="14"/>
      <c r="M8" s="1" t="s">
        <v>16</v>
      </c>
      <c r="N8" s="15"/>
      <c r="O8" s="16">
        <v>2.7404999999999999</v>
      </c>
      <c r="P8" s="16">
        <f>SUM(O8+0.06)</f>
        <v>2.8005</v>
      </c>
      <c r="Q8" s="16">
        <f>SUM(500*P8)</f>
        <v>1400.25</v>
      </c>
      <c r="R8" s="16"/>
      <c r="S8" s="16"/>
      <c r="T8" s="18"/>
    </row>
    <row r="9" spans="1:20" x14ac:dyDescent="0.3">
      <c r="A9" s="14"/>
      <c r="D9" s="16"/>
      <c r="F9" s="17"/>
      <c r="G9" s="16"/>
      <c r="H9" s="16"/>
      <c r="I9" s="16"/>
      <c r="J9" s="31"/>
      <c r="K9" s="16"/>
      <c r="L9" s="14"/>
      <c r="N9" s="15"/>
      <c r="O9" s="16"/>
      <c r="P9" s="16"/>
      <c r="Q9" s="17"/>
      <c r="R9" s="16"/>
      <c r="S9" s="16"/>
      <c r="T9" s="18"/>
    </row>
    <row r="10" spans="1:20" x14ac:dyDescent="0.3">
      <c r="A10" s="2" t="s">
        <v>12</v>
      </c>
      <c r="B10" s="33" t="s">
        <v>20</v>
      </c>
      <c r="C10" s="33"/>
      <c r="D10" s="33"/>
      <c r="E10" s="33"/>
      <c r="F10" s="17">
        <f>SUM(350*D6)+(150*D7)</f>
        <v>1174.9699999999998</v>
      </c>
      <c r="G10" s="19">
        <f>F10*1.15</f>
        <v>1351.2154999999996</v>
      </c>
      <c r="H10" s="16"/>
      <c r="I10" s="16">
        <f>G10/500</f>
        <v>2.7024309999999989</v>
      </c>
      <c r="J10" s="31">
        <f>(G10-R10)/R10</f>
        <v>7.3414275404024995E-2</v>
      </c>
      <c r="K10" s="16"/>
      <c r="L10" s="2" t="s">
        <v>12</v>
      </c>
      <c r="M10" s="33" t="s">
        <v>41</v>
      </c>
      <c r="N10" s="33"/>
      <c r="O10" s="33"/>
      <c r="P10" s="33"/>
      <c r="Q10" s="17">
        <f>SUM(350*O6)+(150*O7)</f>
        <v>1094.6099999999999</v>
      </c>
      <c r="R10" s="19">
        <f>Q10*1.15</f>
        <v>1258.8014999999998</v>
      </c>
      <c r="S10" s="16"/>
      <c r="T10" s="18">
        <f>R10/500</f>
        <v>2.5176029999999998</v>
      </c>
    </row>
    <row r="11" spans="1:20" ht="14.4" thickBot="1" x14ac:dyDescent="0.35">
      <c r="A11" s="20" t="s">
        <v>13</v>
      </c>
      <c r="B11" s="34" t="s">
        <v>21</v>
      </c>
      <c r="C11" s="34"/>
      <c r="D11" s="34"/>
      <c r="E11" s="34"/>
      <c r="F11" s="22">
        <f>SUM(350*D6)+(150*D7)+(500*E8)</f>
        <v>2776.92</v>
      </c>
      <c r="G11" s="23">
        <f>F11*1.15</f>
        <v>3193.4579999999996</v>
      </c>
      <c r="H11" s="24"/>
      <c r="I11" s="24">
        <f>G11/1000</f>
        <v>3.1934579999999997</v>
      </c>
      <c r="J11" s="32">
        <f>(G11-R11)/R11</f>
        <v>0.11305644404896474</v>
      </c>
      <c r="K11" s="16"/>
      <c r="L11" s="20" t="s">
        <v>13</v>
      </c>
      <c r="M11" s="34" t="s">
        <v>42</v>
      </c>
      <c r="N11" s="34"/>
      <c r="O11" s="34"/>
      <c r="P11" s="34"/>
      <c r="Q11" s="22">
        <f>SUM(350*O6)+(150*O7)+(500*P8)</f>
        <v>2494.8599999999997</v>
      </c>
      <c r="R11" s="23">
        <f>Q11*1.15</f>
        <v>2869.0889999999995</v>
      </c>
      <c r="S11" s="24"/>
      <c r="T11" s="25">
        <f>R11/1000</f>
        <v>2.8690889999999993</v>
      </c>
    </row>
    <row r="12" spans="1:20" x14ac:dyDescent="0.3">
      <c r="D12" s="16"/>
      <c r="F12" s="5"/>
      <c r="G12" s="16"/>
      <c r="H12" s="16"/>
      <c r="I12" s="16"/>
      <c r="K12" s="16"/>
      <c r="L12" s="15"/>
      <c r="M12" s="15"/>
      <c r="N12" s="15"/>
      <c r="O12" s="15"/>
    </row>
    <row r="13" spans="1:20" ht="14.4" thickBot="1" x14ac:dyDescent="0.35">
      <c r="D13" s="16"/>
      <c r="F13" s="5"/>
      <c r="G13" s="16"/>
      <c r="H13" s="16"/>
      <c r="I13" s="16"/>
      <c r="K13" s="16"/>
      <c r="L13" s="15"/>
      <c r="M13" s="15"/>
      <c r="N13" s="15"/>
      <c r="O13" s="15"/>
    </row>
    <row r="14" spans="1:20" ht="18.600000000000001" customHeight="1" thickBot="1" x14ac:dyDescent="0.35">
      <c r="A14" s="35" t="s">
        <v>32</v>
      </c>
      <c r="B14" s="36"/>
      <c r="C14" s="36"/>
      <c r="D14" s="36"/>
      <c r="E14" s="36"/>
      <c r="F14" s="36"/>
      <c r="G14" s="36"/>
      <c r="H14" s="36"/>
      <c r="I14" s="36"/>
      <c r="J14" s="37"/>
      <c r="K14" s="16"/>
      <c r="L14" s="35" t="s">
        <v>34</v>
      </c>
      <c r="M14" s="36"/>
      <c r="N14" s="36"/>
      <c r="O14" s="36"/>
      <c r="P14" s="36"/>
      <c r="Q14" s="36"/>
      <c r="R14" s="36"/>
      <c r="S14" s="36"/>
      <c r="T14" s="38"/>
    </row>
    <row r="15" spans="1:20" ht="55.2" x14ac:dyDescent="0.3">
      <c r="A15" s="2" t="s">
        <v>3</v>
      </c>
      <c r="C15" s="4" t="s">
        <v>10</v>
      </c>
      <c r="D15" s="3" t="s">
        <v>11</v>
      </c>
      <c r="E15" s="5" t="s">
        <v>18</v>
      </c>
      <c r="F15" s="6" t="s">
        <v>22</v>
      </c>
      <c r="G15" s="19" t="s">
        <v>19</v>
      </c>
      <c r="H15" s="16"/>
      <c r="I15" s="6" t="s">
        <v>31</v>
      </c>
      <c r="J15" s="30" t="s">
        <v>33</v>
      </c>
      <c r="K15" s="16"/>
      <c r="L15" s="28" t="s">
        <v>35</v>
      </c>
      <c r="N15" s="4" t="s">
        <v>10</v>
      </c>
      <c r="O15" s="3" t="s">
        <v>11</v>
      </c>
      <c r="P15" s="5" t="s">
        <v>18</v>
      </c>
      <c r="Q15" s="6" t="s">
        <v>22</v>
      </c>
      <c r="R15" s="19" t="s">
        <v>19</v>
      </c>
      <c r="S15" s="16"/>
      <c r="T15" s="29" t="s">
        <v>31</v>
      </c>
    </row>
    <row r="16" spans="1:20" x14ac:dyDescent="0.3">
      <c r="A16" s="14"/>
      <c r="C16" s="15">
        <v>200</v>
      </c>
      <c r="D16" s="16"/>
      <c r="F16" s="17">
        <v>200</v>
      </c>
      <c r="G16" s="16"/>
      <c r="H16" s="16"/>
      <c r="I16" s="16"/>
      <c r="J16" s="31"/>
      <c r="K16" s="16"/>
      <c r="L16" s="14"/>
      <c r="N16" s="15">
        <v>0</v>
      </c>
      <c r="O16" s="16"/>
      <c r="P16" s="16"/>
      <c r="Q16" s="17"/>
      <c r="R16" s="16"/>
      <c r="S16" s="16"/>
      <c r="T16" s="18"/>
    </row>
    <row r="17" spans="1:20" x14ac:dyDescent="0.3">
      <c r="A17" s="14"/>
      <c r="B17" s="1" t="s">
        <v>1</v>
      </c>
      <c r="D17" s="16">
        <v>2.3633999999999999</v>
      </c>
      <c r="F17" s="17">
        <f>SUM(350*D17)</f>
        <v>827.18999999999994</v>
      </c>
      <c r="G17" s="16"/>
      <c r="H17" s="16"/>
      <c r="I17" s="16"/>
      <c r="J17" s="31"/>
      <c r="K17" s="16"/>
      <c r="L17" s="14"/>
      <c r="M17" s="1" t="s">
        <v>1</v>
      </c>
      <c r="N17" s="15"/>
      <c r="O17" s="16">
        <v>2.0966999999999998</v>
      </c>
      <c r="P17" s="16"/>
      <c r="Q17" s="17">
        <f>SUM(350*O17)</f>
        <v>733.84499999999991</v>
      </c>
      <c r="R17" s="16"/>
      <c r="S17" s="16"/>
      <c r="T17" s="18"/>
    </row>
    <row r="18" spans="1:20" x14ac:dyDescent="0.3">
      <c r="A18" s="14"/>
      <c r="B18" s="1" t="s">
        <v>2</v>
      </c>
      <c r="D18" s="16">
        <v>2.7109999999999999</v>
      </c>
      <c r="F18" s="17">
        <f>SUM(150*D18)</f>
        <v>406.65</v>
      </c>
      <c r="G18" s="16"/>
      <c r="H18" s="16"/>
      <c r="I18" s="16"/>
      <c r="J18" s="31"/>
      <c r="K18" s="16"/>
      <c r="L18" s="14"/>
      <c r="M18" s="1" t="s">
        <v>2</v>
      </c>
      <c r="N18" s="15"/>
      <c r="O18" s="16">
        <v>2.4051</v>
      </c>
      <c r="P18" s="16"/>
      <c r="Q18" s="17">
        <f>SUM(150*O18)</f>
        <v>360.76499999999999</v>
      </c>
      <c r="R18" s="16"/>
      <c r="S18" s="16"/>
      <c r="T18" s="18"/>
    </row>
    <row r="19" spans="1:20" x14ac:dyDescent="0.3">
      <c r="A19" s="14"/>
      <c r="B19" s="1" t="s">
        <v>17</v>
      </c>
      <c r="D19" s="16">
        <v>3.0891000000000002</v>
      </c>
      <c r="E19" s="16">
        <f>SUM(D19+0.06)</f>
        <v>3.1491000000000002</v>
      </c>
      <c r="F19" s="17">
        <f>SUM(500*E19)</f>
        <v>1574.5500000000002</v>
      </c>
      <c r="G19" s="16"/>
      <c r="H19" s="16"/>
      <c r="I19" s="16"/>
      <c r="J19" s="31"/>
      <c r="K19" s="16"/>
      <c r="L19" s="14"/>
      <c r="M19" s="1" t="s">
        <v>17</v>
      </c>
      <c r="N19" s="15"/>
      <c r="O19" s="16">
        <v>2.7404999999999999</v>
      </c>
      <c r="P19" s="16">
        <f>SUM(O19+0.06)</f>
        <v>2.8005</v>
      </c>
      <c r="Q19" s="17">
        <f>SUM(500*P19)</f>
        <v>1400.25</v>
      </c>
      <c r="R19" s="16"/>
      <c r="S19" s="16"/>
      <c r="T19" s="18"/>
    </row>
    <row r="20" spans="1:20" x14ac:dyDescent="0.3">
      <c r="A20" s="14"/>
      <c r="D20" s="16"/>
      <c r="F20" s="17"/>
      <c r="G20" s="16"/>
      <c r="H20" s="16"/>
      <c r="I20" s="16"/>
      <c r="J20" s="31"/>
      <c r="K20" s="16"/>
      <c r="L20" s="14"/>
      <c r="N20" s="15"/>
      <c r="O20" s="16"/>
      <c r="P20" s="16"/>
      <c r="Q20" s="17"/>
      <c r="R20" s="16"/>
      <c r="S20" s="16"/>
      <c r="T20" s="18"/>
    </row>
    <row r="21" spans="1:20" x14ac:dyDescent="0.3">
      <c r="A21" s="2" t="s">
        <v>12</v>
      </c>
      <c r="B21" s="33" t="s">
        <v>23</v>
      </c>
      <c r="C21" s="33"/>
      <c r="D21" s="33"/>
      <c r="E21" s="33"/>
      <c r="F21" s="17">
        <f>SUM(F16,F17,F18)</f>
        <v>1433.8400000000001</v>
      </c>
      <c r="G21" s="19">
        <f>F21*1.15</f>
        <v>1648.9159999999999</v>
      </c>
      <c r="H21" s="16"/>
      <c r="I21" s="16">
        <f>G21/500</f>
        <v>3.2978320000000001</v>
      </c>
      <c r="J21" s="31">
        <f>SUM(G21-R21)/R21</f>
        <v>0.30990946547172066</v>
      </c>
      <c r="K21" s="16"/>
      <c r="L21" s="2" t="s">
        <v>12</v>
      </c>
      <c r="M21" s="33" t="s">
        <v>41</v>
      </c>
      <c r="N21" s="33"/>
      <c r="O21" s="33"/>
      <c r="P21" s="33"/>
      <c r="Q21" s="17">
        <f>SUM(Q16,Q17,Q18)</f>
        <v>1094.6099999999999</v>
      </c>
      <c r="R21" s="19">
        <f>Q21*1.15</f>
        <v>1258.8014999999998</v>
      </c>
      <c r="S21" s="16"/>
      <c r="T21" s="18">
        <f>R21/500</f>
        <v>2.5176029999999998</v>
      </c>
    </row>
    <row r="22" spans="1:20" x14ac:dyDescent="0.3">
      <c r="A22" s="2" t="s">
        <v>13</v>
      </c>
      <c r="B22" s="33" t="s">
        <v>24</v>
      </c>
      <c r="C22" s="33"/>
      <c r="D22" s="33"/>
      <c r="E22" s="33"/>
      <c r="F22" s="17">
        <f>SUM(F16,F17,F18,F19)</f>
        <v>3008.3900000000003</v>
      </c>
      <c r="G22" s="19">
        <f>F22*1.15</f>
        <v>3459.6485000000002</v>
      </c>
      <c r="H22" s="16"/>
      <c r="I22" s="16">
        <f>G22/1000</f>
        <v>3.4596485000000001</v>
      </c>
      <c r="J22" s="31">
        <f>SUM(G22-R22)/R22</f>
        <v>0.2058351971653723</v>
      </c>
      <c r="K22" s="16"/>
      <c r="L22" s="2" t="s">
        <v>13</v>
      </c>
      <c r="M22" s="33" t="s">
        <v>45</v>
      </c>
      <c r="N22" s="33"/>
      <c r="O22" s="33"/>
      <c r="P22" s="33"/>
      <c r="Q22" s="17">
        <f>SUM(Q16,Q17,Q18,Q19)</f>
        <v>2494.8599999999997</v>
      </c>
      <c r="R22" s="19">
        <f>Q22*1.15</f>
        <v>2869.0889999999995</v>
      </c>
      <c r="S22" s="16"/>
      <c r="T22" s="18">
        <f>R22/1000</f>
        <v>2.8690889999999993</v>
      </c>
    </row>
    <row r="23" spans="1:20" x14ac:dyDescent="0.3">
      <c r="A23" s="2" t="s">
        <v>14</v>
      </c>
      <c r="B23" s="33" t="s">
        <v>25</v>
      </c>
      <c r="C23" s="33"/>
      <c r="D23" s="33"/>
      <c r="E23" s="33"/>
      <c r="F23" s="17">
        <f>SUM(F16)+(F17)+(F18)+(1000*E19)</f>
        <v>4582.9400000000005</v>
      </c>
      <c r="G23" s="19">
        <f>F23*1.15</f>
        <v>5270.3810000000003</v>
      </c>
      <c r="H23" s="16"/>
      <c r="I23" s="16">
        <f>G23/1500</f>
        <v>3.5135873333333336</v>
      </c>
      <c r="J23" s="31">
        <f>SUM(G23-R23)/R23</f>
        <v>0.17658808095278461</v>
      </c>
      <c r="K23" s="16"/>
      <c r="L23" s="2" t="s">
        <v>14</v>
      </c>
      <c r="M23" s="33" t="s">
        <v>44</v>
      </c>
      <c r="N23" s="33"/>
      <c r="O23" s="33"/>
      <c r="P23" s="33"/>
      <c r="Q23" s="17">
        <f>SUM(Q16)+(Q17)+(Q18)+(1000*P19)</f>
        <v>3895.1099999999997</v>
      </c>
      <c r="R23" s="19">
        <f>Q23*1.15</f>
        <v>4479.3764999999994</v>
      </c>
      <c r="S23" s="16"/>
      <c r="T23" s="18">
        <f>R23/1500</f>
        <v>2.9862509999999998</v>
      </c>
    </row>
    <row r="24" spans="1:20" ht="14.4" thickBot="1" x14ac:dyDescent="0.35">
      <c r="A24" s="20" t="s">
        <v>15</v>
      </c>
      <c r="B24" s="34" t="s">
        <v>26</v>
      </c>
      <c r="C24" s="34"/>
      <c r="D24" s="34"/>
      <c r="E24" s="34"/>
      <c r="F24" s="22">
        <f>SUM(F16,F17,F18)+(1500*E19)</f>
        <v>6157.4900000000007</v>
      </c>
      <c r="G24" s="23">
        <f>F24*1.15</f>
        <v>7081.1135000000004</v>
      </c>
      <c r="H24" s="24"/>
      <c r="I24" s="24">
        <f>G24/2000</f>
        <v>3.5405567500000004</v>
      </c>
      <c r="J24" s="32">
        <f>SUM(G24-R24)/R24</f>
        <v>0.16280857203287435</v>
      </c>
      <c r="K24" s="16"/>
      <c r="L24" s="20" t="s">
        <v>15</v>
      </c>
      <c r="M24" s="34" t="s">
        <v>43</v>
      </c>
      <c r="N24" s="34"/>
      <c r="O24" s="34"/>
      <c r="P24" s="34"/>
      <c r="Q24" s="22">
        <f>SUM(Q16,Q17,Q18)+(1500*P19)</f>
        <v>5295.36</v>
      </c>
      <c r="R24" s="23">
        <f>Q24*1.15</f>
        <v>6089.6639999999989</v>
      </c>
      <c r="S24" s="24"/>
      <c r="T24" s="25">
        <f>R24/2000</f>
        <v>3.0448319999999995</v>
      </c>
    </row>
    <row r="25" spans="1:20" x14ac:dyDescent="0.3">
      <c r="C25" s="1"/>
      <c r="F25" s="5"/>
      <c r="G25" s="16"/>
      <c r="H25" s="16"/>
      <c r="I25" s="16"/>
      <c r="K25" s="16"/>
      <c r="L25" s="15"/>
      <c r="M25" s="15"/>
      <c r="N25" s="15"/>
      <c r="O25" s="15"/>
    </row>
    <row r="26" spans="1:20" ht="14.4" thickBot="1" x14ac:dyDescent="0.35">
      <c r="C26" s="1"/>
      <c r="F26" s="5"/>
      <c r="G26" s="16"/>
      <c r="H26" s="16"/>
      <c r="I26" s="16"/>
      <c r="K26" s="16"/>
      <c r="L26" s="15"/>
      <c r="M26" s="15"/>
      <c r="N26" s="15"/>
      <c r="O26" s="15"/>
    </row>
    <row r="27" spans="1:20" ht="18.600000000000001" customHeight="1" thickBot="1" x14ac:dyDescent="0.35">
      <c r="A27" s="35" t="s">
        <v>32</v>
      </c>
      <c r="B27" s="36"/>
      <c r="C27" s="36"/>
      <c r="D27" s="36"/>
      <c r="E27" s="36"/>
      <c r="F27" s="36"/>
      <c r="G27" s="36"/>
      <c r="H27" s="36"/>
      <c r="I27" s="36"/>
      <c r="J27" s="37"/>
      <c r="K27" s="16"/>
      <c r="L27" s="35" t="s">
        <v>34</v>
      </c>
      <c r="M27" s="36"/>
      <c r="N27" s="36"/>
      <c r="O27" s="36"/>
      <c r="P27" s="36"/>
      <c r="Q27" s="36"/>
      <c r="R27" s="36"/>
      <c r="S27" s="36"/>
      <c r="T27" s="38"/>
    </row>
    <row r="28" spans="1:20" ht="55.2" x14ac:dyDescent="0.3">
      <c r="A28" s="2" t="s">
        <v>4</v>
      </c>
      <c r="C28" s="4" t="s">
        <v>10</v>
      </c>
      <c r="D28" s="3" t="s">
        <v>11</v>
      </c>
      <c r="E28" s="5" t="s">
        <v>18</v>
      </c>
      <c r="F28" s="6" t="s">
        <v>22</v>
      </c>
      <c r="G28" s="19" t="s">
        <v>19</v>
      </c>
      <c r="H28" s="16"/>
      <c r="I28" s="6" t="s">
        <v>31</v>
      </c>
      <c r="J28" s="30" t="s">
        <v>33</v>
      </c>
      <c r="K28" s="16"/>
      <c r="L28" s="2" t="s">
        <v>4</v>
      </c>
      <c r="N28" s="4" t="s">
        <v>10</v>
      </c>
      <c r="O28" s="3" t="s">
        <v>11</v>
      </c>
      <c r="P28" s="5" t="s">
        <v>18</v>
      </c>
      <c r="Q28" s="6" t="s">
        <v>22</v>
      </c>
      <c r="R28" s="19" t="s">
        <v>19</v>
      </c>
      <c r="S28" s="16"/>
      <c r="T28" s="29" t="s">
        <v>31</v>
      </c>
    </row>
    <row r="29" spans="1:20" x14ac:dyDescent="0.3">
      <c r="A29" s="14"/>
      <c r="C29" s="15">
        <f>SUM(235.79+694.58)</f>
        <v>930.37</v>
      </c>
      <c r="D29" s="16"/>
      <c r="F29" s="17">
        <v>930.37</v>
      </c>
      <c r="G29" s="16"/>
      <c r="H29" s="16"/>
      <c r="I29" s="16"/>
      <c r="J29" s="31">
        <f>SUM(F29-N29)/N29</f>
        <v>0.12720201604109607</v>
      </c>
      <c r="K29" s="16"/>
      <c r="L29" s="14"/>
      <c r="N29" s="15">
        <f>SUM(209.18+616.2)</f>
        <v>825.38000000000011</v>
      </c>
      <c r="O29" s="16"/>
      <c r="P29" s="16"/>
      <c r="Q29" s="15">
        <f>SUM(209.18+616.2)</f>
        <v>825.38000000000011</v>
      </c>
      <c r="R29" s="16"/>
      <c r="S29" s="16"/>
      <c r="T29" s="18"/>
    </row>
    <row r="30" spans="1:20" x14ac:dyDescent="0.3">
      <c r="A30" s="14"/>
      <c r="B30" s="1" t="s">
        <v>5</v>
      </c>
      <c r="D30" s="16">
        <v>2.2728000000000002</v>
      </c>
      <c r="F30" s="16">
        <f>500*D30</f>
        <v>1136.4000000000001</v>
      </c>
      <c r="G30" s="16"/>
      <c r="H30" s="16"/>
      <c r="I30" s="16"/>
      <c r="J30" s="31"/>
      <c r="K30" s="16"/>
      <c r="L30" s="14"/>
      <c r="M30" s="1" t="s">
        <v>5</v>
      </c>
      <c r="N30" s="15"/>
      <c r="O30" s="16">
        <v>2.0163000000000002</v>
      </c>
      <c r="P30" s="16"/>
      <c r="Q30" s="16">
        <f>500*O30</f>
        <v>1008.1500000000001</v>
      </c>
      <c r="R30" s="16"/>
      <c r="S30" s="16"/>
      <c r="T30" s="18"/>
    </row>
    <row r="31" spans="1:20" x14ac:dyDescent="0.3">
      <c r="A31" s="14"/>
      <c r="B31" s="1" t="s">
        <v>6</v>
      </c>
      <c r="D31" s="16">
        <v>2.6082999999999998</v>
      </c>
      <c r="E31" s="16">
        <f>SUM(D31+0.06)</f>
        <v>2.6682999999999999</v>
      </c>
      <c r="F31" s="17">
        <f>500*E31</f>
        <v>1334.1499999999999</v>
      </c>
      <c r="G31" s="16"/>
      <c r="H31" s="16"/>
      <c r="I31" s="16"/>
      <c r="J31" s="31"/>
      <c r="K31" s="16"/>
      <c r="L31" s="14"/>
      <c r="M31" s="1" t="s">
        <v>6</v>
      </c>
      <c r="N31" s="15"/>
      <c r="O31" s="16">
        <v>2.3140000000000001</v>
      </c>
      <c r="P31" s="16">
        <f>SUM(O31+0.06)</f>
        <v>2.3740000000000001</v>
      </c>
      <c r="Q31" s="17">
        <f>500*P31</f>
        <v>1187</v>
      </c>
      <c r="R31" s="16"/>
      <c r="S31" s="16"/>
      <c r="T31" s="18"/>
    </row>
    <row r="32" spans="1:20" x14ac:dyDescent="0.3">
      <c r="A32" s="14"/>
      <c r="B32" s="1" t="s">
        <v>7</v>
      </c>
      <c r="D32" s="16">
        <v>2.8008000000000002</v>
      </c>
      <c r="E32" s="16">
        <f>SUM(D32+0.06)</f>
        <v>2.8608000000000002</v>
      </c>
      <c r="F32" s="17">
        <f>1000*E32</f>
        <v>2860.8</v>
      </c>
      <c r="G32" s="16"/>
      <c r="H32" s="16"/>
      <c r="I32" s="16"/>
      <c r="J32" s="31"/>
      <c r="K32" s="16"/>
      <c r="L32" s="14"/>
      <c r="M32" s="1" t="s">
        <v>7</v>
      </c>
      <c r="N32" s="15"/>
      <c r="O32" s="16">
        <v>2.4847000000000001</v>
      </c>
      <c r="P32" s="16">
        <f>SUM(O32+0.06)</f>
        <v>2.5447000000000002</v>
      </c>
      <c r="Q32" s="17">
        <f>1000*P32</f>
        <v>2544.7000000000003</v>
      </c>
      <c r="R32" s="16"/>
      <c r="S32" s="16"/>
      <c r="T32" s="18"/>
    </row>
    <row r="33" spans="1:20" x14ac:dyDescent="0.3">
      <c r="A33" s="14"/>
      <c r="B33" s="1" t="s">
        <v>8</v>
      </c>
      <c r="D33" s="16">
        <v>2.9550000000000001</v>
      </c>
      <c r="E33" s="16">
        <f>SUM(D33+0.06)</f>
        <v>3.0150000000000001</v>
      </c>
      <c r="F33" s="17">
        <f>1000*E33</f>
        <v>3015</v>
      </c>
      <c r="G33" s="16"/>
      <c r="H33" s="16"/>
      <c r="I33" s="16"/>
      <c r="J33" s="31"/>
      <c r="K33" s="16"/>
      <c r="L33" s="14"/>
      <c r="M33" s="1" t="s">
        <v>8</v>
      </c>
      <c r="N33" s="15"/>
      <c r="O33" s="16">
        <v>2.6215000000000002</v>
      </c>
      <c r="P33" s="16">
        <f>SUM(O33+0.06)</f>
        <v>2.6815000000000002</v>
      </c>
      <c r="Q33" s="17">
        <f>1000*P33</f>
        <v>2681.5</v>
      </c>
      <c r="R33" s="16"/>
      <c r="S33" s="16"/>
      <c r="T33" s="18"/>
    </row>
    <row r="34" spans="1:20" x14ac:dyDescent="0.3">
      <c r="A34" s="14"/>
      <c r="B34" s="1" t="s">
        <v>9</v>
      </c>
      <c r="D34" s="16">
        <v>3.1</v>
      </c>
      <c r="E34" s="16">
        <f>SUM(D34+0.06)</f>
        <v>3.16</v>
      </c>
      <c r="F34" s="17">
        <f>1000*E34</f>
        <v>3160</v>
      </c>
      <c r="G34" s="16"/>
      <c r="H34" s="16"/>
      <c r="I34" s="16"/>
      <c r="J34" s="31"/>
      <c r="K34" s="16"/>
      <c r="L34" s="14"/>
      <c r="M34" s="1" t="s">
        <v>9</v>
      </c>
      <c r="N34" s="15"/>
      <c r="O34" s="16">
        <v>2.7502</v>
      </c>
      <c r="P34" s="16">
        <f>SUM(O34+0.06)</f>
        <v>2.8102</v>
      </c>
      <c r="Q34" s="17">
        <f>1000*P34</f>
        <v>2810.2</v>
      </c>
      <c r="R34" s="16"/>
      <c r="S34" s="16"/>
      <c r="T34" s="18"/>
    </row>
    <row r="35" spans="1:20" x14ac:dyDescent="0.3">
      <c r="A35" s="14"/>
      <c r="D35" s="16"/>
      <c r="F35" s="17"/>
      <c r="G35" s="16"/>
      <c r="H35" s="16"/>
      <c r="I35" s="16"/>
      <c r="J35" s="31"/>
      <c r="K35" s="16"/>
      <c r="L35" s="14"/>
      <c r="N35" s="15"/>
      <c r="O35" s="16"/>
      <c r="P35" s="16"/>
      <c r="Q35" s="17"/>
      <c r="R35" s="16"/>
      <c r="S35" s="16"/>
      <c r="T35" s="18"/>
    </row>
    <row r="36" spans="1:20" x14ac:dyDescent="0.3">
      <c r="A36" s="2" t="s">
        <v>12</v>
      </c>
      <c r="B36" s="33" t="s">
        <v>27</v>
      </c>
      <c r="C36" s="33"/>
      <c r="D36" s="33"/>
      <c r="E36" s="33"/>
      <c r="F36" s="17">
        <f>SUM(F29)+(500*D30)</f>
        <v>2066.77</v>
      </c>
      <c r="G36" s="19">
        <f>F36*1.15</f>
        <v>2376.7855</v>
      </c>
      <c r="H36" s="16"/>
      <c r="I36" s="16">
        <f>G36/500</f>
        <v>4.753571</v>
      </c>
      <c r="J36" s="31">
        <f>SUM(G36-R36)/R36</f>
        <v>0.12720817221425346</v>
      </c>
      <c r="K36" s="16"/>
      <c r="L36" s="2" t="s">
        <v>12</v>
      </c>
      <c r="M36" s="33" t="s">
        <v>37</v>
      </c>
      <c r="N36" s="33"/>
      <c r="O36" s="33"/>
      <c r="P36" s="33"/>
      <c r="Q36" s="17">
        <f>SUM(Q29)+(500*O30)</f>
        <v>1833.5300000000002</v>
      </c>
      <c r="R36" s="19">
        <f>Q36*1.15</f>
        <v>2108.5594999999998</v>
      </c>
      <c r="S36" s="16"/>
      <c r="T36" s="18">
        <f>R36/500</f>
        <v>4.2171189999999994</v>
      </c>
    </row>
    <row r="37" spans="1:20" x14ac:dyDescent="0.3">
      <c r="A37" s="2" t="s">
        <v>13</v>
      </c>
      <c r="B37" s="33" t="s">
        <v>28</v>
      </c>
      <c r="C37" s="33"/>
      <c r="D37" s="33"/>
      <c r="E37" s="33"/>
      <c r="F37" s="17">
        <f>SUM(F29)+(500*D30)+(500*E31)</f>
        <v>3400.92</v>
      </c>
      <c r="G37" s="19">
        <f>F37*1.15</f>
        <v>3911.058</v>
      </c>
      <c r="I37" s="16">
        <f>G37/1000</f>
        <v>3.9110580000000001</v>
      </c>
      <c r="J37" s="31">
        <f>SUM(G37-R37)/R37</f>
        <v>0.12593485249277445</v>
      </c>
      <c r="L37" s="2" t="s">
        <v>13</v>
      </c>
      <c r="M37" s="33" t="s">
        <v>38</v>
      </c>
      <c r="N37" s="33"/>
      <c r="O37" s="33"/>
      <c r="P37" s="33"/>
      <c r="Q37" s="17">
        <f>SUM(Q29)+(500*O30)+(500*P31)</f>
        <v>3020.53</v>
      </c>
      <c r="R37" s="19">
        <f>Q37*1.15</f>
        <v>3473.6095</v>
      </c>
      <c r="T37" s="18">
        <f>R37/1000</f>
        <v>3.4736095000000002</v>
      </c>
    </row>
    <row r="38" spans="1:20" x14ac:dyDescent="0.3">
      <c r="A38" s="2" t="s">
        <v>14</v>
      </c>
      <c r="B38" s="33" t="s">
        <v>30</v>
      </c>
      <c r="C38" s="33"/>
      <c r="D38" s="33"/>
      <c r="E38" s="33"/>
      <c r="F38" s="17">
        <f>SUM(F29)+(500*D30)+(500*E31)+(500*E32)</f>
        <v>4831.32</v>
      </c>
      <c r="G38" s="19">
        <f>F38*1.15</f>
        <v>5556.0179999999991</v>
      </c>
      <c r="I38" s="16">
        <f>G38/1500</f>
        <v>3.7040119999999992</v>
      </c>
      <c r="J38" s="31">
        <f>SUM(G38-R38)/R38</f>
        <v>0.12542628724772165</v>
      </c>
      <c r="L38" s="2" t="s">
        <v>14</v>
      </c>
      <c r="M38" s="33" t="s">
        <v>39</v>
      </c>
      <c r="N38" s="33"/>
      <c r="O38" s="33"/>
      <c r="P38" s="33"/>
      <c r="Q38" s="17">
        <f>SUM(Q29)+(500*O30)+(500*P31)+(500*P32)</f>
        <v>4292.88</v>
      </c>
      <c r="R38" s="19">
        <f>Q38*1.15</f>
        <v>4936.8119999999999</v>
      </c>
      <c r="T38" s="18">
        <f>R38/1500</f>
        <v>3.2912080000000001</v>
      </c>
    </row>
    <row r="39" spans="1:20" ht="14.4" thickBot="1" x14ac:dyDescent="0.35">
      <c r="A39" s="20" t="s">
        <v>15</v>
      </c>
      <c r="B39" s="34" t="s">
        <v>29</v>
      </c>
      <c r="C39" s="34"/>
      <c r="D39" s="34"/>
      <c r="E39" s="34"/>
      <c r="F39" s="22">
        <f>SUM(F29)+(500*D30)+(500*E31)+(1000*E32)</f>
        <v>6261.72</v>
      </c>
      <c r="G39" s="23">
        <f>F39*1.15</f>
        <v>7200.9780000000001</v>
      </c>
      <c r="H39" s="21"/>
      <c r="I39" s="24">
        <f>G39/2000</f>
        <v>3.6004890000000001</v>
      </c>
      <c r="J39" s="32">
        <f>SUM(G39-R39)/R39</f>
        <v>0.12515026333143461</v>
      </c>
      <c r="L39" s="20" t="s">
        <v>15</v>
      </c>
      <c r="M39" s="34" t="s">
        <v>40</v>
      </c>
      <c r="N39" s="34"/>
      <c r="O39" s="34"/>
      <c r="P39" s="34"/>
      <c r="Q39" s="22">
        <f>SUM(Q29)+(500*O30)+(500*P31)+(1000*P32)</f>
        <v>5565.2300000000005</v>
      </c>
      <c r="R39" s="23">
        <f>Q39*1.15</f>
        <v>6400.0145000000002</v>
      </c>
      <c r="S39" s="21"/>
      <c r="T39" s="25">
        <f>R39/2000</f>
        <v>3.2000072500000001</v>
      </c>
    </row>
  </sheetData>
  <mergeCells count="26">
    <mergeCell ref="M36:P36"/>
    <mergeCell ref="M37:P37"/>
    <mergeCell ref="M38:P38"/>
    <mergeCell ref="M39:P39"/>
    <mergeCell ref="L27:T27"/>
    <mergeCell ref="B36:E36"/>
    <mergeCell ref="B37:E37"/>
    <mergeCell ref="B38:E38"/>
    <mergeCell ref="B39:E39"/>
    <mergeCell ref="L3:T3"/>
    <mergeCell ref="M10:P10"/>
    <mergeCell ref="M11:P11"/>
    <mergeCell ref="A3:J3"/>
    <mergeCell ref="A14:J14"/>
    <mergeCell ref="B10:E10"/>
    <mergeCell ref="B11:E11"/>
    <mergeCell ref="M21:P21"/>
    <mergeCell ref="M22:P22"/>
    <mergeCell ref="M23:P23"/>
    <mergeCell ref="M24:P24"/>
    <mergeCell ref="L14:T14"/>
    <mergeCell ref="B21:E21"/>
    <mergeCell ref="B22:E22"/>
    <mergeCell ref="B23:E23"/>
    <mergeCell ref="B24:E24"/>
    <mergeCell ref="A27:J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flanagan</dc:creator>
  <cp:lastModifiedBy>louise flanagan</cp:lastModifiedBy>
  <cp:lastPrinted>2024-07-04T15:07:00Z</cp:lastPrinted>
  <dcterms:created xsi:type="dcterms:W3CDTF">2024-07-03T10:58:34Z</dcterms:created>
  <dcterms:modified xsi:type="dcterms:W3CDTF">2024-07-08T06:42:25Z</dcterms:modified>
</cp:coreProperties>
</file>